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ESEARCH\Tamas\Blog\Blog20210110- Tesla növekedés\"/>
    </mc:Choice>
  </mc:AlternateContent>
  <bookViews>
    <workbookView xWindow="0" yWindow="0" windowWidth="21570" windowHeight="8055"/>
  </bookViews>
  <sheets>
    <sheet name="Sheet1" sheetId="1" r:id="rId1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" i="1" l="1"/>
  <c r="AB14" i="1" s="1"/>
  <c r="AB21" i="1"/>
  <c r="G32" i="1" l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H14" i="1"/>
  <c r="H9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H6" i="1"/>
  <c r="H17" i="1" s="1"/>
  <c r="G17" i="1"/>
  <c r="G14" i="1"/>
  <c r="G11" i="1"/>
  <c r="G8" i="1"/>
  <c r="F8" i="1"/>
  <c r="G7" i="1"/>
  <c r="F7" i="1"/>
  <c r="I17" i="1" l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H20" i="1"/>
  <c r="H7" i="1"/>
  <c r="G20" i="1"/>
  <c r="G21" i="1" s="1"/>
  <c r="H19" i="1" s="1"/>
  <c r="I14" i="1" s="1"/>
  <c r="G6" i="1"/>
  <c r="G12" i="1"/>
  <c r="G15" i="1"/>
  <c r="G16" i="1" s="1"/>
  <c r="G10" i="1"/>
  <c r="G9" i="1"/>
  <c r="G23" i="1" l="1"/>
  <c r="H8" i="1"/>
  <c r="H11" i="1" s="1"/>
  <c r="H12" i="1" s="1"/>
  <c r="I7" i="1"/>
  <c r="H15" i="1"/>
  <c r="H16" i="1" s="1"/>
  <c r="I20" i="1"/>
  <c r="H21" i="1"/>
  <c r="I19" i="1" s="1"/>
  <c r="J14" i="1" s="1"/>
  <c r="H23" i="1" l="1"/>
  <c r="J7" i="1"/>
  <c r="I8" i="1"/>
  <c r="I15" i="1"/>
  <c r="I16" i="1" s="1"/>
  <c r="J20" i="1"/>
  <c r="I21" i="1"/>
  <c r="J19" i="1" s="1"/>
  <c r="K14" i="1" s="1"/>
  <c r="K20" i="1" s="1"/>
  <c r="I11" i="1" l="1"/>
  <c r="I12" i="1" s="1"/>
  <c r="K7" i="1"/>
  <c r="J15" i="1"/>
  <c r="J16" i="1" s="1"/>
  <c r="J8" i="1"/>
  <c r="J21" i="1"/>
  <c r="K19" i="1" s="1"/>
  <c r="L14" i="1" s="1"/>
  <c r="I23" i="1" l="1"/>
  <c r="L7" i="1"/>
  <c r="K15" i="1"/>
  <c r="K16" i="1" s="1"/>
  <c r="K8" i="1"/>
  <c r="J11" i="1"/>
  <c r="J12" i="1" s="1"/>
  <c r="K21" i="1"/>
  <c r="L19" i="1" s="1"/>
  <c r="M14" i="1" s="1"/>
  <c r="L20" i="1"/>
  <c r="J23" i="1" l="1"/>
  <c r="L21" i="1"/>
  <c r="M19" i="1" s="1"/>
  <c r="N14" i="1" s="1"/>
  <c r="K11" i="1"/>
  <c r="K12" i="1" s="1"/>
  <c r="M7" i="1"/>
  <c r="L8" i="1"/>
  <c r="L11" i="1" s="1"/>
  <c r="L12" i="1" s="1"/>
  <c r="L15" i="1"/>
  <c r="L16" i="1" s="1"/>
  <c r="M20" i="1"/>
  <c r="K23" i="1" l="1"/>
  <c r="M21" i="1"/>
  <c r="N19" i="1" s="1"/>
  <c r="O14" i="1" s="1"/>
  <c r="L23" i="1"/>
  <c r="N7" i="1"/>
  <c r="M8" i="1"/>
  <c r="M11" i="1" s="1"/>
  <c r="M12" i="1" s="1"/>
  <c r="M15" i="1"/>
  <c r="M16" i="1" s="1"/>
  <c r="N20" i="1"/>
  <c r="N21" i="1" l="1"/>
  <c r="O19" i="1" s="1"/>
  <c r="P14" i="1" s="1"/>
  <c r="M23" i="1"/>
  <c r="O7" i="1"/>
  <c r="N15" i="1"/>
  <c r="N16" i="1" s="1"/>
  <c r="N8" i="1"/>
  <c r="N11" i="1" s="1"/>
  <c r="N12" i="1" s="1"/>
  <c r="O20" i="1"/>
  <c r="O21" i="1" l="1"/>
  <c r="P19" i="1" s="1"/>
  <c r="Q14" i="1" s="1"/>
  <c r="Q20" i="1" s="1"/>
  <c r="N23" i="1"/>
  <c r="P7" i="1"/>
  <c r="O8" i="1"/>
  <c r="O15" i="1"/>
  <c r="O16" i="1" s="1"/>
  <c r="P20" i="1"/>
  <c r="P21" i="1" l="1"/>
  <c r="Q19" i="1" s="1"/>
  <c r="R14" i="1" s="1"/>
  <c r="R20" i="1" s="1"/>
  <c r="O11" i="1"/>
  <c r="O12" i="1" s="1"/>
  <c r="Q7" i="1"/>
  <c r="P8" i="1"/>
  <c r="P15" i="1"/>
  <c r="P16" i="1" s="1"/>
  <c r="Q21" i="1" l="1"/>
  <c r="R19" i="1" s="1"/>
  <c r="S14" i="1" s="1"/>
  <c r="S20" i="1" s="1"/>
  <c r="O23" i="1"/>
  <c r="P11" i="1"/>
  <c r="P12" i="1" s="1"/>
  <c r="R7" i="1"/>
  <c r="Q15" i="1"/>
  <c r="Q16" i="1" s="1"/>
  <c r="Q8" i="1"/>
  <c r="R21" i="1" l="1"/>
  <c r="S19" i="1" s="1"/>
  <c r="T14" i="1" s="1"/>
  <c r="T20" i="1" s="1"/>
  <c r="P23" i="1"/>
  <c r="Q11" i="1"/>
  <c r="Q12" i="1" s="1"/>
  <c r="S7" i="1"/>
  <c r="R15" i="1"/>
  <c r="R16" i="1" s="1"/>
  <c r="R8" i="1"/>
  <c r="S21" i="1" l="1"/>
  <c r="T19" i="1" s="1"/>
  <c r="U14" i="1" s="1"/>
  <c r="Q23" i="1"/>
  <c r="T7" i="1"/>
  <c r="S15" i="1"/>
  <c r="S16" i="1" s="1"/>
  <c r="S8" i="1"/>
  <c r="R11" i="1"/>
  <c r="R12" i="1" s="1"/>
  <c r="T21" i="1" l="1"/>
  <c r="U19" i="1" s="1"/>
  <c r="V14" i="1" s="1"/>
  <c r="R23" i="1"/>
  <c r="S11" i="1"/>
  <c r="S12" i="1" s="1"/>
  <c r="U7" i="1"/>
  <c r="T15" i="1"/>
  <c r="T16" i="1" s="1"/>
  <c r="T8" i="1"/>
  <c r="T11" i="1" s="1"/>
  <c r="T12" i="1" s="1"/>
  <c r="U20" i="1"/>
  <c r="U21" i="1" l="1"/>
  <c r="V19" i="1" s="1"/>
  <c r="W14" i="1" s="1"/>
  <c r="T23" i="1"/>
  <c r="S23" i="1"/>
  <c r="V7" i="1"/>
  <c r="U15" i="1"/>
  <c r="U16" i="1" s="1"/>
  <c r="U8" i="1"/>
  <c r="U11" i="1" s="1"/>
  <c r="U12" i="1" s="1"/>
  <c r="V20" i="1"/>
  <c r="V21" i="1" l="1"/>
  <c r="W19" i="1" s="1"/>
  <c r="X14" i="1" s="1"/>
  <c r="X20" i="1" s="1"/>
  <c r="U23" i="1"/>
  <c r="W7" i="1"/>
  <c r="V15" i="1"/>
  <c r="V16" i="1" s="1"/>
  <c r="V8" i="1"/>
  <c r="V11" i="1" s="1"/>
  <c r="V12" i="1" s="1"/>
  <c r="W20" i="1"/>
  <c r="W21" i="1" l="1"/>
  <c r="X19" i="1" s="1"/>
  <c r="Y14" i="1" s="1"/>
  <c r="V23" i="1"/>
  <c r="X7" i="1"/>
  <c r="W8" i="1"/>
  <c r="W15" i="1"/>
  <c r="W16" i="1" s="1"/>
  <c r="Y20" i="1"/>
  <c r="X21" i="1"/>
  <c r="Y19" i="1" s="1"/>
  <c r="Z14" i="1" s="1"/>
  <c r="Y7" i="1" l="1"/>
  <c r="X8" i="1"/>
  <c r="X15" i="1"/>
  <c r="X16" i="1" s="1"/>
  <c r="W11" i="1"/>
  <c r="W12" i="1" s="1"/>
  <c r="Z20" i="1"/>
  <c r="Y21" i="1"/>
  <c r="Z19" i="1" s="1"/>
  <c r="W23" i="1" l="1"/>
  <c r="X11" i="1"/>
  <c r="X12" i="1" s="1"/>
  <c r="Z7" i="1"/>
  <c r="Y15" i="1"/>
  <c r="Y16" i="1" s="1"/>
  <c r="Y8" i="1"/>
  <c r="AA14" i="1"/>
  <c r="Z21" i="1"/>
  <c r="AA19" i="1" s="1"/>
  <c r="X23" i="1" l="1"/>
  <c r="Y11" i="1"/>
  <c r="Y12" i="1" s="1"/>
  <c r="AA7" i="1"/>
  <c r="Z15" i="1"/>
  <c r="Z16" i="1" s="1"/>
  <c r="Z8" i="1"/>
  <c r="AA20" i="1"/>
  <c r="AA21" i="1" s="1"/>
  <c r="AC7" i="1" l="1"/>
  <c r="AC8" i="1"/>
  <c r="Y23" i="1"/>
  <c r="Z11" i="1"/>
  <c r="Z12" i="1" s="1"/>
  <c r="AA15" i="1"/>
  <c r="AA16" i="1" s="1"/>
  <c r="AA8" i="1"/>
  <c r="Z23" i="1" l="1"/>
  <c r="AA11" i="1"/>
  <c r="AA12" i="1" s="1"/>
  <c r="AB12" i="1" s="1"/>
  <c r="AB23" i="1" s="1"/>
  <c r="AA23" i="1" l="1"/>
  <c r="G2" i="1" l="1"/>
  <c r="AA25" i="1" s="1"/>
  <c r="G26" i="1" l="1"/>
  <c r="G27" i="1" s="1"/>
  <c r="H26" i="1"/>
  <c r="H27" i="1" s="1"/>
  <c r="K26" i="1"/>
  <c r="K27" i="1" s="1"/>
  <c r="S26" i="1"/>
  <c r="S27" i="1" s="1"/>
  <c r="AA26" i="1"/>
  <c r="L26" i="1"/>
  <c r="L27" i="1" s="1"/>
  <c r="T26" i="1"/>
  <c r="T27" i="1" s="1"/>
  <c r="W26" i="1"/>
  <c r="W27" i="1" s="1"/>
  <c r="P26" i="1"/>
  <c r="P27" i="1" s="1"/>
  <c r="X26" i="1"/>
  <c r="X27" i="1" s="1"/>
  <c r="I26" i="1"/>
  <c r="I27" i="1" s="1"/>
  <c r="Q26" i="1"/>
  <c r="Q27" i="1" s="1"/>
  <c r="Z26" i="1"/>
  <c r="Z27" i="1" s="1"/>
  <c r="R26" i="1"/>
  <c r="R27" i="1" s="1"/>
  <c r="M26" i="1"/>
  <c r="M27" i="1" s="1"/>
  <c r="U26" i="1"/>
  <c r="U27" i="1" s="1"/>
  <c r="N26" i="1"/>
  <c r="N27" i="1" s="1"/>
  <c r="V26" i="1"/>
  <c r="V27" i="1" s="1"/>
  <c r="O26" i="1"/>
  <c r="O27" i="1" s="1"/>
  <c r="Y26" i="1"/>
  <c r="Y27" i="1" s="1"/>
  <c r="J26" i="1"/>
  <c r="J27" i="1" s="1"/>
  <c r="AA27" i="1" l="1"/>
  <c r="G29" i="1" s="1"/>
  <c r="G34" i="1" s="1"/>
  <c r="B22" i="1" s="1"/>
</calcChain>
</file>

<file path=xl/sharedStrings.xml><?xml version="1.0" encoding="utf-8"?>
<sst xmlns="http://schemas.openxmlformats.org/spreadsheetml/2006/main" count="39" uniqueCount="39">
  <si>
    <t>WACC</t>
  </si>
  <si>
    <t xml:space="preserve">Equity risk premium </t>
  </si>
  <si>
    <t>Debt to (Debt to Equity)</t>
  </si>
  <si>
    <t>Discount factor</t>
  </si>
  <si>
    <t>Sales growth</t>
  </si>
  <si>
    <t>Sales</t>
  </si>
  <si>
    <t>EBIT</t>
  </si>
  <si>
    <t>EBIT margin</t>
  </si>
  <si>
    <t>Tax rate</t>
  </si>
  <si>
    <t>Taxes on EBIT</t>
  </si>
  <si>
    <t>NOPLAT</t>
  </si>
  <si>
    <t>Depreciation</t>
  </si>
  <si>
    <t>Change in sales</t>
  </si>
  <si>
    <t>Terminal value</t>
  </si>
  <si>
    <t>Minorities</t>
  </si>
  <si>
    <t>Non-operating assets</t>
  </si>
  <si>
    <t>Net debt</t>
  </si>
  <si>
    <t xml:space="preserve">Other </t>
  </si>
  <si>
    <t>Net changes</t>
  </si>
  <si>
    <t>Property &amp; intangibles eoy</t>
  </si>
  <si>
    <t>Property &amp; intangibles boy</t>
  </si>
  <si>
    <t>Free cash flow</t>
  </si>
  <si>
    <t>Discounted free cash flow</t>
  </si>
  <si>
    <t># of shares outstanding</t>
  </si>
  <si>
    <t>Implied stock price (USD)</t>
  </si>
  <si>
    <t>WC change per year</t>
  </si>
  <si>
    <t>Sales growth per year</t>
  </si>
  <si>
    <t>EBIT margin per year</t>
  </si>
  <si>
    <t>Tesla DCF model</t>
  </si>
  <si>
    <t>10-year US treasury yield</t>
  </si>
  <si>
    <t>Beta to S&amp;P500</t>
  </si>
  <si>
    <t xml:space="preserve">Equity value </t>
  </si>
  <si>
    <t xml:space="preserve">Enterprise value </t>
  </si>
  <si>
    <t>Chg. working capital</t>
  </si>
  <si>
    <t>Capital expenditures</t>
  </si>
  <si>
    <t>Number of years of terminal value</t>
  </si>
  <si>
    <t>Year</t>
  </si>
  <si>
    <t>Capex growth of sales</t>
  </si>
  <si>
    <t>Termival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</si>
</sst>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8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0" applyNumberFormat="1"/>
    <xf numFmtId="10" fontId="3" fillId="0" borderId="0" xfId="0" applyNumberFormat="1" applyFont="1"/>
    <xf numFmtId="9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9" fontId="5" fillId="0" borderId="0" xfId="0" applyNumberFormat="1" applyFont="1"/>
    <xf numFmtId="3" fontId="0" fillId="0" borderId="0" xfId="1" applyNumberFormat="1" applyFont="1"/>
    <xf numFmtId="3" fontId="0" fillId="0" borderId="0" xfId="0" applyNumberFormat="1"/>
    <xf numFmtId="165" fontId="2" fillId="0" borderId="0" xfId="0" applyNumberFormat="1" applyFont="1"/>
    <xf numFmtId="0" fontId="3" fillId="0" borderId="0" xfId="0" applyFont="1"/>
    <xf numFmtId="0" fontId="0" fillId="0" borderId="0" xfId="0" applyBorder="1"/>
    <xf numFmtId="9" fontId="4" fillId="0" borderId="0" xfId="0" applyNumberFormat="1" applyFont="1" applyBorder="1" applyAlignment="1">
      <alignment horizontal="left"/>
    </xf>
    <xf numFmtId="1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3" fontId="2" fillId="0" borderId="0" xfId="1" applyNumberFormat="1" applyFont="1"/>
    <xf numFmtId="0" fontId="6" fillId="0" borderId="0" xfId="0" applyFont="1"/>
    <xf numFmtId="9" fontId="6" fillId="0" borderId="0" xfId="2" applyFont="1"/>
    <xf numFmtId="9" fontId="6" fillId="0" borderId="0" xfId="0" applyNumberFormat="1" applyFont="1"/>
    <xf numFmtId="164" fontId="6" fillId="0" borderId="0" xfId="2" applyNumberFormat="1" applyFont="1"/>
    <xf numFmtId="2" fontId="6" fillId="0" borderId="0" xfId="0" applyNumberFormat="1" applyFont="1"/>
    <xf numFmtId="0" fontId="7" fillId="0" borderId="0" xfId="0" applyFont="1"/>
    <xf numFmtId="0" fontId="6" fillId="0" borderId="0" xfId="0" applyFont="1" applyBorder="1"/>
    <xf numFmtId="10" fontId="8" fillId="0" borderId="0" xfId="0" applyNumberFormat="1" applyFont="1" applyBorder="1" applyAlignment="1">
      <alignment horizontal="left"/>
    </xf>
    <xf numFmtId="9" fontId="4" fillId="0" borderId="0" xfId="0" applyNumberFormat="1" applyFont="1" applyAlignment="1">
      <alignment horizontal="left"/>
    </xf>
    <xf numFmtId="3" fontId="0" fillId="0" borderId="0" xfId="0" applyNumberFormat="1" applyAlignment="1"/>
    <xf numFmtId="0" fontId="0" fillId="0" borderId="0" xfId="0" applyAlignment="1"/>
    <xf numFmtId="165" fontId="0" fillId="0" borderId="0" xfId="0" applyNumberFormat="1" applyAlignment="1"/>
    <xf numFmtId="3" fontId="0" fillId="0" borderId="0" xfId="1" applyNumberFormat="1" applyFont="1" applyAlignment="1"/>
    <xf numFmtId="168" fontId="2" fillId="0" borderId="0" xfId="0" applyNumberFormat="1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5"/>
  <sheetViews>
    <sheetView showGridLines="0" tabSelected="1" topLeftCell="A2" workbookViewId="0">
      <selection activeCell="A22" sqref="A22"/>
    </sheetView>
  </sheetViews>
  <sheetFormatPr defaultRowHeight="15" x14ac:dyDescent="0.25"/>
  <cols>
    <col min="2" max="2" width="26.42578125" customWidth="1"/>
    <col min="4" max="4" width="5.5703125" customWidth="1"/>
    <col min="5" max="5" width="24.140625" customWidth="1"/>
    <col min="6" max="6" width="6.7109375" hidden="1" customWidth="1"/>
    <col min="7" max="7" width="9.85546875" customWidth="1"/>
    <col min="27" max="27" width="10.5703125" customWidth="1"/>
    <col min="28" max="28" width="11.140625" customWidth="1"/>
  </cols>
  <sheetData>
    <row r="1" spans="2:29" hidden="1" x14ac:dyDescent="0.25">
      <c r="G1">
        <v>0</v>
      </c>
      <c r="H1">
        <v>0</v>
      </c>
      <c r="I1">
        <v>1</v>
      </c>
      <c r="J1">
        <v>2</v>
      </c>
      <c r="K1">
        <v>3</v>
      </c>
      <c r="L1">
        <v>4</v>
      </c>
      <c r="M1">
        <v>5</v>
      </c>
      <c r="N1">
        <v>6</v>
      </c>
      <c r="O1">
        <v>7</v>
      </c>
      <c r="P1">
        <v>8</v>
      </c>
      <c r="Q1">
        <v>9</v>
      </c>
      <c r="R1">
        <v>10</v>
      </c>
      <c r="S1">
        <v>11</v>
      </c>
      <c r="T1">
        <v>12</v>
      </c>
      <c r="U1">
        <v>13</v>
      </c>
      <c r="V1">
        <v>14</v>
      </c>
      <c r="W1">
        <v>15</v>
      </c>
      <c r="X1">
        <v>16</v>
      </c>
      <c r="Y1">
        <v>17</v>
      </c>
      <c r="Z1">
        <v>18</v>
      </c>
      <c r="AA1">
        <v>19</v>
      </c>
    </row>
    <row r="2" spans="2:29" ht="18.75" x14ac:dyDescent="0.3">
      <c r="B2" s="26" t="s">
        <v>28</v>
      </c>
      <c r="E2" s="27" t="s">
        <v>0</v>
      </c>
      <c r="G2" s="28">
        <f>+B11*B5+(1-B11)*B9*B7</f>
        <v>4.9299999999999997E-2</v>
      </c>
    </row>
    <row r="3" spans="2:29" ht="9" customHeight="1" x14ac:dyDescent="0.3">
      <c r="B3" s="26"/>
      <c r="E3" s="27"/>
      <c r="F3" s="28"/>
    </row>
    <row r="4" spans="2:29" x14ac:dyDescent="0.25">
      <c r="B4" s="12" t="s">
        <v>29</v>
      </c>
    </row>
    <row r="5" spans="2:29" s="11" customFormat="1" x14ac:dyDescent="0.25">
      <c r="B5" s="14">
        <v>1.8499999999999999E-2</v>
      </c>
      <c r="E5" s="11" t="s">
        <v>36</v>
      </c>
      <c r="F5" s="11">
        <v>2019</v>
      </c>
      <c r="G5" s="11">
        <v>2020</v>
      </c>
      <c r="H5" s="11">
        <v>2021</v>
      </c>
      <c r="I5" s="11">
        <v>2022</v>
      </c>
      <c r="J5" s="11">
        <v>2023</v>
      </c>
      <c r="K5" s="11">
        <v>2024</v>
      </c>
      <c r="L5" s="11">
        <v>2025</v>
      </c>
      <c r="M5" s="11">
        <v>2026</v>
      </c>
      <c r="N5" s="11">
        <v>2027</v>
      </c>
      <c r="O5" s="11">
        <v>2028</v>
      </c>
      <c r="P5" s="11">
        <v>2029</v>
      </c>
      <c r="Q5" s="11">
        <v>2030</v>
      </c>
      <c r="R5" s="11">
        <v>2031</v>
      </c>
      <c r="S5" s="11">
        <v>2032</v>
      </c>
      <c r="T5" s="11">
        <v>2033</v>
      </c>
      <c r="U5" s="11">
        <v>2034</v>
      </c>
      <c r="V5" s="11">
        <v>2035</v>
      </c>
      <c r="W5" s="11">
        <v>2036</v>
      </c>
      <c r="X5" s="11">
        <v>2037</v>
      </c>
      <c r="Y5" s="11">
        <v>2038</v>
      </c>
      <c r="Z5" s="11">
        <v>2039</v>
      </c>
      <c r="AA5" s="11">
        <v>2040</v>
      </c>
      <c r="AB5" s="11" t="s">
        <v>38</v>
      </c>
    </row>
    <row r="6" spans="2:29" x14ac:dyDescent="0.25">
      <c r="B6" s="12" t="s">
        <v>1</v>
      </c>
      <c r="E6" s="21" t="s">
        <v>4</v>
      </c>
      <c r="F6" s="21"/>
      <c r="G6" s="22">
        <f>+G7/F7-1</f>
        <v>0.25282773211815446</v>
      </c>
      <c r="H6" s="23">
        <f t="shared" ref="H6:AA6" si="0">+$B$15</f>
        <v>0.2165</v>
      </c>
      <c r="I6" s="23">
        <f t="shared" si="0"/>
        <v>0.2165</v>
      </c>
      <c r="J6" s="23">
        <f t="shared" si="0"/>
        <v>0.2165</v>
      </c>
      <c r="K6" s="23">
        <f t="shared" si="0"/>
        <v>0.2165</v>
      </c>
      <c r="L6" s="23">
        <f t="shared" si="0"/>
        <v>0.2165</v>
      </c>
      <c r="M6" s="23">
        <f t="shared" si="0"/>
        <v>0.2165</v>
      </c>
      <c r="N6" s="23">
        <f t="shared" si="0"/>
        <v>0.2165</v>
      </c>
      <c r="O6" s="23">
        <f t="shared" si="0"/>
        <v>0.2165</v>
      </c>
      <c r="P6" s="23">
        <f t="shared" si="0"/>
        <v>0.2165</v>
      </c>
      <c r="Q6" s="23">
        <f t="shared" si="0"/>
        <v>0.2165</v>
      </c>
      <c r="R6" s="23">
        <f t="shared" si="0"/>
        <v>0.2165</v>
      </c>
      <c r="S6" s="23">
        <f t="shared" si="0"/>
        <v>0.2165</v>
      </c>
      <c r="T6" s="23">
        <f t="shared" si="0"/>
        <v>0.2165</v>
      </c>
      <c r="U6" s="23">
        <f t="shared" si="0"/>
        <v>0.2165</v>
      </c>
      <c r="V6" s="23">
        <f t="shared" si="0"/>
        <v>0.2165</v>
      </c>
      <c r="W6" s="23">
        <f t="shared" si="0"/>
        <v>0.2165</v>
      </c>
      <c r="X6" s="23">
        <f t="shared" si="0"/>
        <v>0.2165</v>
      </c>
      <c r="Y6" s="23">
        <f t="shared" si="0"/>
        <v>0.2165</v>
      </c>
      <c r="Z6" s="23">
        <f t="shared" si="0"/>
        <v>0.2165</v>
      </c>
      <c r="AA6" s="23">
        <f t="shared" si="0"/>
        <v>0.2165</v>
      </c>
    </row>
    <row r="7" spans="2:29" x14ac:dyDescent="0.25">
      <c r="B7" s="14">
        <v>6.25E-2</v>
      </c>
      <c r="E7" t="s">
        <v>5</v>
      </c>
      <c r="F7" s="8">
        <f>4541+6350+6303+7384</f>
        <v>24578</v>
      </c>
      <c r="G7" s="8">
        <f>5985+6036+8771+10000</f>
        <v>30792</v>
      </c>
      <c r="H7" s="8">
        <f>+G7*(1+H6)</f>
        <v>37458.468000000001</v>
      </c>
      <c r="I7" s="8">
        <f t="shared" ref="I7:AA7" si="1">+H7*(1+I6)</f>
        <v>45568.226321999995</v>
      </c>
      <c r="J7" s="8">
        <f t="shared" si="1"/>
        <v>55433.747320712988</v>
      </c>
      <c r="K7" s="8">
        <f t="shared" si="1"/>
        <v>67435.153615647345</v>
      </c>
      <c r="L7" s="8">
        <f t="shared" si="1"/>
        <v>82034.86437343499</v>
      </c>
      <c r="M7" s="8">
        <f t="shared" si="1"/>
        <v>99795.412510283655</v>
      </c>
      <c r="N7" s="8">
        <f t="shared" si="1"/>
        <v>121401.11931876006</v>
      </c>
      <c r="O7" s="8">
        <f t="shared" si="1"/>
        <v>147684.46165127159</v>
      </c>
      <c r="P7" s="8">
        <f t="shared" si="1"/>
        <v>179658.14759877187</v>
      </c>
      <c r="Q7" s="8">
        <f t="shared" si="1"/>
        <v>218554.13655390596</v>
      </c>
      <c r="R7" s="8">
        <f t="shared" si="1"/>
        <v>265871.10711782658</v>
      </c>
      <c r="S7" s="8">
        <f t="shared" si="1"/>
        <v>323432.20180883602</v>
      </c>
      <c r="T7" s="8">
        <f t="shared" si="1"/>
        <v>393455.27350044897</v>
      </c>
      <c r="U7" s="8">
        <f t="shared" si="1"/>
        <v>478638.34021329612</v>
      </c>
      <c r="V7" s="8">
        <f t="shared" si="1"/>
        <v>582263.54086947464</v>
      </c>
      <c r="W7" s="8">
        <f t="shared" si="1"/>
        <v>708323.59746771585</v>
      </c>
      <c r="X7" s="8">
        <f t="shared" si="1"/>
        <v>861675.65631947631</v>
      </c>
      <c r="Y7" s="8">
        <f t="shared" si="1"/>
        <v>1048228.4359126429</v>
      </c>
      <c r="Z7" s="8">
        <f t="shared" si="1"/>
        <v>1275169.89228773</v>
      </c>
      <c r="AA7" s="8">
        <f t="shared" si="1"/>
        <v>1551244.1739680234</v>
      </c>
      <c r="AC7" s="3">
        <f>+AA7/2755000</f>
        <v>0.56306503592305746</v>
      </c>
    </row>
    <row r="8" spans="2:29" x14ac:dyDescent="0.25">
      <c r="B8" s="12" t="s">
        <v>30</v>
      </c>
      <c r="C8" s="12"/>
      <c r="D8" s="2"/>
      <c r="E8" t="s">
        <v>6</v>
      </c>
      <c r="F8" s="8">
        <f>-522-167+261+359</f>
        <v>-69</v>
      </c>
      <c r="G8" s="8">
        <f>283+327+809+1000</f>
        <v>2419</v>
      </c>
      <c r="H8" s="8">
        <f>+H7*H9</f>
        <v>2996.6774399999999</v>
      </c>
      <c r="I8" s="8">
        <f t="shared" ref="I8:AA8" si="2">+I7*I9</f>
        <v>3645.4581057599999</v>
      </c>
      <c r="J8" s="8">
        <f t="shared" si="2"/>
        <v>4434.6997856570388</v>
      </c>
      <c r="K8" s="8">
        <f t="shared" si="2"/>
        <v>5394.8122892517877</v>
      </c>
      <c r="L8" s="8">
        <f t="shared" si="2"/>
        <v>6562.7891498747995</v>
      </c>
      <c r="M8" s="8">
        <f t="shared" si="2"/>
        <v>7983.6330008226923</v>
      </c>
      <c r="N8" s="8">
        <f t="shared" si="2"/>
        <v>9712.0895455008049</v>
      </c>
      <c r="O8" s="8">
        <f t="shared" si="2"/>
        <v>11814.756932101727</v>
      </c>
      <c r="P8" s="8">
        <f t="shared" si="2"/>
        <v>14372.65180790175</v>
      </c>
      <c r="Q8" s="8">
        <f t="shared" si="2"/>
        <v>17484.330924312479</v>
      </c>
      <c r="R8" s="8">
        <f t="shared" si="2"/>
        <v>21269.688569426125</v>
      </c>
      <c r="S8" s="8">
        <f t="shared" si="2"/>
        <v>25874.576144706883</v>
      </c>
      <c r="T8" s="8">
        <f t="shared" si="2"/>
        <v>31476.421880035919</v>
      </c>
      <c r="U8" s="8">
        <f t="shared" si="2"/>
        <v>38291.06721706369</v>
      </c>
      <c r="V8" s="8">
        <f t="shared" si="2"/>
        <v>46581.083269557974</v>
      </c>
      <c r="W8" s="8">
        <f t="shared" si="2"/>
        <v>56665.887797417272</v>
      </c>
      <c r="X8" s="8">
        <f t="shared" si="2"/>
        <v>68934.052505558109</v>
      </c>
      <c r="Y8" s="8">
        <f t="shared" si="2"/>
        <v>83858.274873011425</v>
      </c>
      <c r="Z8" s="8">
        <f t="shared" si="2"/>
        <v>102013.5913830184</v>
      </c>
      <c r="AA8" s="8">
        <f t="shared" si="2"/>
        <v>124099.53391744188</v>
      </c>
      <c r="AC8" s="3">
        <f>+AA7/3800000</f>
        <v>0.40822215104421666</v>
      </c>
    </row>
    <row r="9" spans="2:29" x14ac:dyDescent="0.25">
      <c r="B9" s="15">
        <v>1</v>
      </c>
      <c r="C9" s="12"/>
      <c r="E9" s="21" t="s">
        <v>7</v>
      </c>
      <c r="F9" s="21"/>
      <c r="G9" s="24">
        <f>+G8/G7</f>
        <v>7.8559366069108863E-2</v>
      </c>
      <c r="H9" s="23">
        <f t="shared" ref="H9:AA9" si="3">+$B$17</f>
        <v>0.08</v>
      </c>
      <c r="I9" s="23">
        <f t="shared" si="3"/>
        <v>0.08</v>
      </c>
      <c r="J9" s="23">
        <f t="shared" si="3"/>
        <v>0.08</v>
      </c>
      <c r="K9" s="23">
        <f t="shared" si="3"/>
        <v>0.08</v>
      </c>
      <c r="L9" s="23">
        <f t="shared" si="3"/>
        <v>0.08</v>
      </c>
      <c r="M9" s="23">
        <f t="shared" si="3"/>
        <v>0.08</v>
      </c>
      <c r="N9" s="23">
        <f t="shared" si="3"/>
        <v>0.08</v>
      </c>
      <c r="O9" s="23">
        <f t="shared" si="3"/>
        <v>0.08</v>
      </c>
      <c r="P9" s="23">
        <f t="shared" si="3"/>
        <v>0.08</v>
      </c>
      <c r="Q9" s="23">
        <f t="shared" si="3"/>
        <v>0.08</v>
      </c>
      <c r="R9" s="23">
        <f t="shared" si="3"/>
        <v>0.08</v>
      </c>
      <c r="S9" s="23">
        <f t="shared" si="3"/>
        <v>0.08</v>
      </c>
      <c r="T9" s="23">
        <f t="shared" si="3"/>
        <v>0.08</v>
      </c>
      <c r="U9" s="23">
        <f t="shared" si="3"/>
        <v>0.08</v>
      </c>
      <c r="V9" s="23">
        <f t="shared" si="3"/>
        <v>0.08</v>
      </c>
      <c r="W9" s="23">
        <f t="shared" si="3"/>
        <v>0.08</v>
      </c>
      <c r="X9" s="23">
        <f t="shared" si="3"/>
        <v>0.08</v>
      </c>
      <c r="Y9" s="23">
        <f t="shared" si="3"/>
        <v>0.08</v>
      </c>
      <c r="Z9" s="23">
        <f t="shared" si="3"/>
        <v>0.08</v>
      </c>
      <c r="AA9" s="23">
        <f t="shared" si="3"/>
        <v>0.08</v>
      </c>
    </row>
    <row r="10" spans="2:29" x14ac:dyDescent="0.25">
      <c r="B10" s="12" t="s">
        <v>2</v>
      </c>
      <c r="C10" s="12"/>
      <c r="E10" t="s">
        <v>8</v>
      </c>
      <c r="G10" s="4">
        <f>+G11/G8</f>
        <v>0.18974782968168666</v>
      </c>
      <c r="H10" s="1">
        <v>0.2</v>
      </c>
      <c r="I10" s="1">
        <v>0.2</v>
      </c>
      <c r="J10" s="1">
        <v>0.2</v>
      </c>
      <c r="K10" s="1">
        <v>0.2</v>
      </c>
      <c r="L10" s="1">
        <v>0.2</v>
      </c>
      <c r="M10" s="1">
        <v>0.2</v>
      </c>
      <c r="N10" s="1">
        <v>0.2</v>
      </c>
      <c r="O10" s="1">
        <v>0.2</v>
      </c>
      <c r="P10" s="1">
        <v>0.2</v>
      </c>
      <c r="Q10" s="1">
        <v>0.2</v>
      </c>
      <c r="R10" s="1">
        <v>0.2</v>
      </c>
      <c r="S10" s="1">
        <v>0.2</v>
      </c>
      <c r="T10" s="1">
        <v>0.2</v>
      </c>
      <c r="U10" s="1">
        <v>0.2</v>
      </c>
      <c r="V10" s="1">
        <v>0.2</v>
      </c>
      <c r="W10" s="1">
        <v>0.2</v>
      </c>
      <c r="X10" s="1">
        <v>0.2</v>
      </c>
      <c r="Y10" s="1">
        <v>0.2</v>
      </c>
      <c r="Z10" s="1">
        <v>0.2</v>
      </c>
      <c r="AA10" s="1">
        <v>0.2</v>
      </c>
    </row>
    <row r="11" spans="2:29" x14ac:dyDescent="0.25">
      <c r="B11" s="13">
        <v>0.3</v>
      </c>
      <c r="C11" s="12"/>
      <c r="E11" t="s">
        <v>9</v>
      </c>
      <c r="G11" s="8">
        <f>2+21+186+250</f>
        <v>459</v>
      </c>
      <c r="H11" s="8">
        <f>+H8*H10</f>
        <v>599.33548800000005</v>
      </c>
      <c r="I11" s="8">
        <f t="shared" ref="I11:AA11" si="4">+I8*I10</f>
        <v>729.09162115200002</v>
      </c>
      <c r="J11" s="8">
        <f t="shared" si="4"/>
        <v>886.93995713140782</v>
      </c>
      <c r="K11" s="8">
        <f t="shared" si="4"/>
        <v>1078.9624578503576</v>
      </c>
      <c r="L11" s="8">
        <f t="shared" si="4"/>
        <v>1312.55782997496</v>
      </c>
      <c r="M11" s="8">
        <f t="shared" si="4"/>
        <v>1596.7266001645385</v>
      </c>
      <c r="N11" s="8">
        <f t="shared" si="4"/>
        <v>1942.4179091001611</v>
      </c>
      <c r="O11" s="8">
        <f t="shared" si="4"/>
        <v>2362.9513864203454</v>
      </c>
      <c r="P11" s="8">
        <f t="shared" si="4"/>
        <v>2874.53036158035</v>
      </c>
      <c r="Q11" s="8">
        <f t="shared" si="4"/>
        <v>3496.8661848624961</v>
      </c>
      <c r="R11" s="8">
        <f t="shared" si="4"/>
        <v>4253.9377138852251</v>
      </c>
      <c r="S11" s="8">
        <f t="shared" si="4"/>
        <v>5174.9152289413769</v>
      </c>
      <c r="T11" s="8">
        <f t="shared" si="4"/>
        <v>6295.2843760071846</v>
      </c>
      <c r="U11" s="8">
        <f t="shared" si="4"/>
        <v>7658.2134434127383</v>
      </c>
      <c r="V11" s="8">
        <f t="shared" si="4"/>
        <v>9316.2166539115951</v>
      </c>
      <c r="W11" s="8">
        <f t="shared" si="4"/>
        <v>11333.177559483454</v>
      </c>
      <c r="X11" s="8">
        <f t="shared" si="4"/>
        <v>13786.810501111622</v>
      </c>
      <c r="Y11" s="8">
        <f t="shared" si="4"/>
        <v>16771.654974602287</v>
      </c>
      <c r="Z11" s="8">
        <f t="shared" si="4"/>
        <v>20402.718276603682</v>
      </c>
      <c r="AA11" s="8">
        <f t="shared" si="4"/>
        <v>24819.906783488375</v>
      </c>
    </row>
    <row r="12" spans="2:29" x14ac:dyDescent="0.25">
      <c r="B12" s="12" t="s">
        <v>25</v>
      </c>
      <c r="C12" s="12"/>
      <c r="E12" s="18" t="s">
        <v>10</v>
      </c>
      <c r="F12" s="18"/>
      <c r="G12" s="20">
        <f>+G8-G11</f>
        <v>1960</v>
      </c>
      <c r="H12" s="20">
        <f>+H8-H11</f>
        <v>2397.3419519999998</v>
      </c>
      <c r="I12" s="20">
        <f t="shared" ref="I12:AA12" si="5">+I8-I11</f>
        <v>2916.3664846080001</v>
      </c>
      <c r="J12" s="20">
        <f t="shared" si="5"/>
        <v>3547.7598285256308</v>
      </c>
      <c r="K12" s="20">
        <f t="shared" si="5"/>
        <v>4315.8498314014305</v>
      </c>
      <c r="L12" s="20">
        <f t="shared" si="5"/>
        <v>5250.2313198998399</v>
      </c>
      <c r="M12" s="20">
        <f t="shared" si="5"/>
        <v>6386.9064006581539</v>
      </c>
      <c r="N12" s="20">
        <f t="shared" si="5"/>
        <v>7769.6716364006443</v>
      </c>
      <c r="O12" s="20">
        <f t="shared" si="5"/>
        <v>9451.8055456813818</v>
      </c>
      <c r="P12" s="20">
        <f t="shared" si="5"/>
        <v>11498.1214463214</v>
      </c>
      <c r="Q12" s="20">
        <f t="shared" si="5"/>
        <v>13987.464739449983</v>
      </c>
      <c r="R12" s="20">
        <f t="shared" si="5"/>
        <v>17015.7508555409</v>
      </c>
      <c r="S12" s="20">
        <f t="shared" si="5"/>
        <v>20699.660915765508</v>
      </c>
      <c r="T12" s="20">
        <f t="shared" si="5"/>
        <v>25181.137504028735</v>
      </c>
      <c r="U12" s="20">
        <f t="shared" si="5"/>
        <v>30632.853773650953</v>
      </c>
      <c r="V12" s="20">
        <f t="shared" si="5"/>
        <v>37264.866615646381</v>
      </c>
      <c r="W12" s="20">
        <f t="shared" si="5"/>
        <v>45332.710237933818</v>
      </c>
      <c r="X12" s="20">
        <f t="shared" si="5"/>
        <v>55147.242004446489</v>
      </c>
      <c r="Y12" s="20">
        <f t="shared" si="5"/>
        <v>67086.619898409146</v>
      </c>
      <c r="Z12" s="20">
        <f t="shared" si="5"/>
        <v>81610.873106414714</v>
      </c>
      <c r="AA12" s="20">
        <f t="shared" si="5"/>
        <v>99279.627133953501</v>
      </c>
      <c r="AB12" s="30">
        <f>+AA12</f>
        <v>99279.627133953501</v>
      </c>
    </row>
    <row r="13" spans="2:29" x14ac:dyDescent="0.25">
      <c r="B13" s="13">
        <v>0.02</v>
      </c>
      <c r="C13" s="12"/>
      <c r="AB13" s="31"/>
    </row>
    <row r="14" spans="2:29" x14ac:dyDescent="0.25">
      <c r="B14" s="12" t="s">
        <v>26</v>
      </c>
      <c r="C14" s="12"/>
      <c r="E14" t="s">
        <v>11</v>
      </c>
      <c r="G14" s="5">
        <f>553+567+584+600</f>
        <v>2304</v>
      </c>
      <c r="H14" s="5">
        <f>+G19*10%</f>
        <v>2230</v>
      </c>
      <c r="I14" s="5">
        <f t="shared" ref="I14:AA14" si="6">+H19*10%</f>
        <v>2300.2000000000003</v>
      </c>
      <c r="J14" s="5">
        <f t="shared" si="6"/>
        <v>2410.33995</v>
      </c>
      <c r="K14" s="5">
        <f t="shared" si="6"/>
        <v>2549.5222995875001</v>
      </c>
      <c r="L14" s="5">
        <f t="shared" si="6"/>
        <v>2717.6568085178469</v>
      </c>
      <c r="M14" s="5">
        <f t="shared" si="6"/>
        <v>2916.1655730399034</v>
      </c>
      <c r="N14" s="5">
        <f t="shared" si="6"/>
        <v>3146.9480393214731</v>
      </c>
      <c r="O14" s="5">
        <f t="shared" si="6"/>
        <v>3412.2804660780225</v>
      </c>
      <c r="P14" s="5">
        <f t="shared" si="6"/>
        <v>3714.8243737309685</v>
      </c>
      <c r="Q14" s="5">
        <f t="shared" si="6"/>
        <v>4057.6511292373457</v>
      </c>
      <c r="R14" s="5">
        <f t="shared" si="6"/>
        <v>4444.2724263072878</v>
      </c>
      <c r="S14" s="5">
        <f t="shared" si="6"/>
        <v>4878.6757770800523</v>
      </c>
      <c r="T14" s="5">
        <f t="shared" si="6"/>
        <v>5365.3652343409676</v>
      </c>
      <c r="U14" s="5">
        <f t="shared" si="6"/>
        <v>5909.4077392878771</v>
      </c>
      <c r="V14" s="5">
        <f t="shared" si="6"/>
        <v>6516.4855649560895</v>
      </c>
      <c r="W14" s="5">
        <f t="shared" si="6"/>
        <v>7192.9553934199357</v>
      </c>
      <c r="X14" s="5">
        <f t="shared" si="6"/>
        <v>7945.9146370259641</v>
      </c>
      <c r="Y14" s="5">
        <f t="shared" si="6"/>
        <v>8783.2756921466098</v>
      </c>
      <c r="Z14" s="5">
        <f t="shared" si="6"/>
        <v>9713.8488992572329</v>
      </c>
      <c r="AA14" s="5">
        <f t="shared" si="6"/>
        <v>10747.435076471324</v>
      </c>
      <c r="AB14" s="32">
        <f>-AB17</f>
        <v>23482.46997305836</v>
      </c>
    </row>
    <row r="15" spans="2:29" x14ac:dyDescent="0.25">
      <c r="B15" s="17">
        <v>0.2165</v>
      </c>
      <c r="C15" s="12"/>
      <c r="E15" t="s">
        <v>12</v>
      </c>
      <c r="G15" s="6">
        <f>+G7-F7</f>
        <v>6214</v>
      </c>
      <c r="H15" s="6">
        <f t="shared" ref="H15:AA15" si="7">+H7-G7</f>
        <v>6666.4680000000008</v>
      </c>
      <c r="I15" s="6">
        <f t="shared" si="7"/>
        <v>8109.7583219999942</v>
      </c>
      <c r="J15" s="6">
        <f t="shared" si="7"/>
        <v>9865.5209987129929</v>
      </c>
      <c r="K15" s="6">
        <f t="shared" si="7"/>
        <v>12001.406294934357</v>
      </c>
      <c r="L15" s="6">
        <f t="shared" si="7"/>
        <v>14599.710757787645</v>
      </c>
      <c r="M15" s="6">
        <f t="shared" si="7"/>
        <v>17760.548136848665</v>
      </c>
      <c r="N15" s="6">
        <f t="shared" si="7"/>
        <v>21605.706808476403</v>
      </c>
      <c r="O15" s="6">
        <f t="shared" si="7"/>
        <v>26283.342332511529</v>
      </c>
      <c r="P15" s="6">
        <f t="shared" si="7"/>
        <v>31973.685947500286</v>
      </c>
      <c r="Q15" s="6">
        <f t="shared" si="7"/>
        <v>38895.988955134089</v>
      </c>
      <c r="R15" s="6">
        <f t="shared" si="7"/>
        <v>47316.970563920622</v>
      </c>
      <c r="S15" s="6">
        <f t="shared" si="7"/>
        <v>57561.094691009435</v>
      </c>
      <c r="T15" s="6">
        <f t="shared" si="7"/>
        <v>70023.071691612946</v>
      </c>
      <c r="U15" s="6">
        <f t="shared" si="7"/>
        <v>85183.066712847154</v>
      </c>
      <c r="V15" s="6">
        <f t="shared" si="7"/>
        <v>103625.20065617852</v>
      </c>
      <c r="W15" s="6">
        <f t="shared" si="7"/>
        <v>126060.05659824121</v>
      </c>
      <c r="X15" s="6">
        <f t="shared" si="7"/>
        <v>153352.05885176046</v>
      </c>
      <c r="Y15" s="6">
        <f t="shared" si="7"/>
        <v>186552.77959316655</v>
      </c>
      <c r="Z15" s="6">
        <f t="shared" si="7"/>
        <v>226941.45637508715</v>
      </c>
      <c r="AA15" s="6">
        <f t="shared" si="7"/>
        <v>276074.28168029338</v>
      </c>
      <c r="AB15" s="31"/>
    </row>
    <row r="16" spans="2:29" x14ac:dyDescent="0.25">
      <c r="B16" s="12" t="s">
        <v>27</v>
      </c>
      <c r="C16" s="12"/>
      <c r="E16" t="s">
        <v>33</v>
      </c>
      <c r="G16" s="9">
        <f t="shared" ref="G16:AA16" si="8">-G15*$B$13</f>
        <v>-124.28</v>
      </c>
      <c r="H16" s="9">
        <f t="shared" si="8"/>
        <v>-133.32936000000001</v>
      </c>
      <c r="I16" s="9">
        <f t="shared" si="8"/>
        <v>-162.19516643999989</v>
      </c>
      <c r="J16" s="9">
        <f t="shared" si="8"/>
        <v>-197.31041997425987</v>
      </c>
      <c r="K16" s="9">
        <f t="shared" si="8"/>
        <v>-240.02812589868714</v>
      </c>
      <c r="L16" s="9">
        <f t="shared" si="8"/>
        <v>-291.9942151557529</v>
      </c>
      <c r="M16" s="9">
        <f t="shared" si="8"/>
        <v>-355.21096273697333</v>
      </c>
      <c r="N16" s="9">
        <f t="shared" si="8"/>
        <v>-432.11413616952808</v>
      </c>
      <c r="O16" s="9">
        <f t="shared" si="8"/>
        <v>-525.66684665023058</v>
      </c>
      <c r="P16" s="9">
        <f t="shared" si="8"/>
        <v>-639.47371895000572</v>
      </c>
      <c r="Q16" s="9">
        <f t="shared" si="8"/>
        <v>-777.91977910268179</v>
      </c>
      <c r="R16" s="9">
        <f t="shared" si="8"/>
        <v>-946.33941127841251</v>
      </c>
      <c r="S16" s="9">
        <f t="shared" si="8"/>
        <v>-1151.2218938201888</v>
      </c>
      <c r="T16" s="9">
        <f t="shared" si="8"/>
        <v>-1400.461433832259</v>
      </c>
      <c r="U16" s="9">
        <f t="shared" si="8"/>
        <v>-1703.6613342569431</v>
      </c>
      <c r="V16" s="9">
        <f t="shared" si="8"/>
        <v>-2072.5040131235705</v>
      </c>
      <c r="W16" s="9">
        <f t="shared" si="8"/>
        <v>-2521.2011319648241</v>
      </c>
      <c r="X16" s="9">
        <f t="shared" si="8"/>
        <v>-3067.0411770352093</v>
      </c>
      <c r="Y16" s="9">
        <f t="shared" si="8"/>
        <v>-3731.0555918633308</v>
      </c>
      <c r="Z16" s="9">
        <f t="shared" si="8"/>
        <v>-4538.8291275017427</v>
      </c>
      <c r="AA16" s="9">
        <f t="shared" si="8"/>
        <v>-5521.4856336058674</v>
      </c>
      <c r="AB16" s="31">
        <v>0</v>
      </c>
    </row>
    <row r="17" spans="2:29" x14ac:dyDescent="0.25">
      <c r="B17" s="13">
        <v>0.08</v>
      </c>
      <c r="C17" s="12"/>
      <c r="E17" t="s">
        <v>34</v>
      </c>
      <c r="G17" s="8">
        <f>-455-546-1005-1000</f>
        <v>-3006</v>
      </c>
      <c r="H17" s="8">
        <f>+G17*(1+H6*$B$19)</f>
        <v>-3331.3995</v>
      </c>
      <c r="I17" s="8">
        <f t="shared" ref="I17:AA17" si="9">+H17*(1+I6*$B$19)</f>
        <v>-3692.0234958749998</v>
      </c>
      <c r="J17" s="8">
        <f t="shared" si="9"/>
        <v>-4091.6850393034683</v>
      </c>
      <c r="K17" s="8">
        <f t="shared" si="9"/>
        <v>-4534.6099448080686</v>
      </c>
      <c r="L17" s="8">
        <f t="shared" si="9"/>
        <v>-5025.4814713335418</v>
      </c>
      <c r="M17" s="8">
        <f t="shared" si="9"/>
        <v>-5569.4898406053971</v>
      </c>
      <c r="N17" s="8">
        <f t="shared" si="9"/>
        <v>-6172.387115850931</v>
      </c>
      <c r="O17" s="8">
        <f t="shared" si="9"/>
        <v>-6840.5480211417944</v>
      </c>
      <c r="P17" s="8">
        <f t="shared" si="9"/>
        <v>-7581.0373444303932</v>
      </c>
      <c r="Q17" s="8">
        <f t="shared" si="9"/>
        <v>-8401.6846369649829</v>
      </c>
      <c r="R17" s="8">
        <f t="shared" si="9"/>
        <v>-9311.166998916442</v>
      </c>
      <c r="S17" s="8">
        <f t="shared" si="9"/>
        <v>-10319.100826549147</v>
      </c>
      <c r="T17" s="8">
        <f t="shared" si="9"/>
        <v>-11436.143491023093</v>
      </c>
      <c r="U17" s="8">
        <f t="shared" si="9"/>
        <v>-12674.106023926342</v>
      </c>
      <c r="V17" s="8">
        <f t="shared" si="9"/>
        <v>-14046.078001016369</v>
      </c>
      <c r="W17" s="8">
        <f t="shared" si="9"/>
        <v>-15566.565944626391</v>
      </c>
      <c r="X17" s="8">
        <f t="shared" si="9"/>
        <v>-17251.646708132197</v>
      </c>
      <c r="Y17" s="8">
        <f t="shared" si="9"/>
        <v>-19119.137464287505</v>
      </c>
      <c r="Z17" s="8">
        <f t="shared" si="9"/>
        <v>-21188.784094796625</v>
      </c>
      <c r="AA17" s="8">
        <f t="shared" si="9"/>
        <v>-23482.46997305836</v>
      </c>
      <c r="AB17" s="8">
        <f>+AA17</f>
        <v>-23482.46997305836</v>
      </c>
    </row>
    <row r="18" spans="2:29" x14ac:dyDescent="0.25">
      <c r="B18" t="s">
        <v>37</v>
      </c>
      <c r="C18" s="12"/>
      <c r="AB18" s="31"/>
    </row>
    <row r="19" spans="2:29" x14ac:dyDescent="0.25">
      <c r="B19" s="29">
        <v>0.5</v>
      </c>
      <c r="C19" s="12"/>
      <c r="E19" t="s">
        <v>20</v>
      </c>
      <c r="G19" s="8">
        <v>22300</v>
      </c>
      <c r="H19" s="8">
        <f>+G21</f>
        <v>23002</v>
      </c>
      <c r="I19" s="8">
        <f t="shared" ref="I19:AA19" si="10">+H21</f>
        <v>24103.3995</v>
      </c>
      <c r="J19" s="8">
        <f t="shared" si="10"/>
        <v>25495.222995874999</v>
      </c>
      <c r="K19" s="8">
        <f t="shared" si="10"/>
        <v>27176.568085178467</v>
      </c>
      <c r="L19" s="8">
        <f t="shared" si="10"/>
        <v>29161.655730399034</v>
      </c>
      <c r="M19" s="8">
        <f t="shared" si="10"/>
        <v>31469.48039321473</v>
      </c>
      <c r="N19" s="8">
        <f t="shared" si="10"/>
        <v>34122.804660780224</v>
      </c>
      <c r="O19" s="8">
        <f t="shared" si="10"/>
        <v>37148.243737309684</v>
      </c>
      <c r="P19" s="8">
        <f t="shared" si="10"/>
        <v>40576.511292373456</v>
      </c>
      <c r="Q19" s="8">
        <f t="shared" si="10"/>
        <v>44442.72426307288</v>
      </c>
      <c r="R19" s="8">
        <f t="shared" si="10"/>
        <v>48786.757770800519</v>
      </c>
      <c r="S19" s="8">
        <f t="shared" si="10"/>
        <v>53653.652343409674</v>
      </c>
      <c r="T19" s="8">
        <f t="shared" si="10"/>
        <v>59094.077392878768</v>
      </c>
      <c r="U19" s="8">
        <f t="shared" si="10"/>
        <v>65164.855649560894</v>
      </c>
      <c r="V19" s="8">
        <f t="shared" si="10"/>
        <v>71929.553934199357</v>
      </c>
      <c r="W19" s="8">
        <f t="shared" si="10"/>
        <v>79459.146370259637</v>
      </c>
      <c r="X19" s="8">
        <f t="shared" si="10"/>
        <v>87832.756921466091</v>
      </c>
      <c r="Y19" s="8">
        <f t="shared" si="10"/>
        <v>97138.488992572326</v>
      </c>
      <c r="Z19" s="8">
        <f t="shared" si="10"/>
        <v>107474.35076471322</v>
      </c>
      <c r="AA19" s="8">
        <f t="shared" si="10"/>
        <v>118949.28596025262</v>
      </c>
      <c r="AB19" s="31"/>
    </row>
    <row r="20" spans="2:29" x14ac:dyDescent="0.25">
      <c r="C20" s="12"/>
      <c r="E20" t="s">
        <v>18</v>
      </c>
      <c r="G20" s="8">
        <f t="shared" ref="G20:AA20" si="11">-G17-G14</f>
        <v>702</v>
      </c>
      <c r="H20" s="8">
        <f t="shared" si="11"/>
        <v>1101.3995</v>
      </c>
      <c r="I20" s="8">
        <f t="shared" si="11"/>
        <v>1391.8234958749995</v>
      </c>
      <c r="J20" s="8">
        <f t="shared" si="11"/>
        <v>1681.3450893034683</v>
      </c>
      <c r="K20" s="8">
        <f t="shared" si="11"/>
        <v>1985.0876452205684</v>
      </c>
      <c r="L20" s="8">
        <f t="shared" si="11"/>
        <v>2307.8246628156949</v>
      </c>
      <c r="M20" s="8">
        <f t="shared" si="11"/>
        <v>2653.3242675654938</v>
      </c>
      <c r="N20" s="8">
        <f t="shared" si="11"/>
        <v>3025.4390765294579</v>
      </c>
      <c r="O20" s="8">
        <f t="shared" si="11"/>
        <v>3428.2675550637719</v>
      </c>
      <c r="P20" s="8">
        <f t="shared" si="11"/>
        <v>3866.2129706994247</v>
      </c>
      <c r="Q20" s="8">
        <f t="shared" si="11"/>
        <v>4344.0335077276377</v>
      </c>
      <c r="R20" s="8">
        <f t="shared" si="11"/>
        <v>4866.8945726091542</v>
      </c>
      <c r="S20" s="8">
        <f t="shared" si="11"/>
        <v>5440.425049469095</v>
      </c>
      <c r="T20" s="8">
        <f t="shared" si="11"/>
        <v>6070.7782566821252</v>
      </c>
      <c r="U20" s="8">
        <f t="shared" si="11"/>
        <v>6764.6982846384653</v>
      </c>
      <c r="V20" s="8">
        <f t="shared" si="11"/>
        <v>7529.5924360602794</v>
      </c>
      <c r="W20" s="8">
        <f t="shared" si="11"/>
        <v>8373.6105512064551</v>
      </c>
      <c r="X20" s="8">
        <f t="shared" si="11"/>
        <v>9305.732071106233</v>
      </c>
      <c r="Y20" s="8">
        <f t="shared" si="11"/>
        <v>10335.861772140895</v>
      </c>
      <c r="Z20" s="8">
        <f t="shared" si="11"/>
        <v>11474.935195539392</v>
      </c>
      <c r="AA20" s="8">
        <f t="shared" si="11"/>
        <v>12735.034896587036</v>
      </c>
      <c r="AB20" s="31">
        <v>0</v>
      </c>
    </row>
    <row r="21" spans="2:29" x14ac:dyDescent="0.25">
      <c r="B21" s="12" t="s">
        <v>24</v>
      </c>
      <c r="C21" s="12"/>
      <c r="E21" t="s">
        <v>19</v>
      </c>
      <c r="G21" s="8">
        <f>+G19+G20</f>
        <v>23002</v>
      </c>
      <c r="H21" s="8">
        <f t="shared" ref="H21:AB21" si="12">+H19+H20</f>
        <v>24103.3995</v>
      </c>
      <c r="I21" s="8">
        <f t="shared" si="12"/>
        <v>25495.222995874999</v>
      </c>
      <c r="J21" s="8">
        <f t="shared" si="12"/>
        <v>27176.568085178467</v>
      </c>
      <c r="K21" s="8">
        <f t="shared" si="12"/>
        <v>29161.655730399034</v>
      </c>
      <c r="L21" s="8">
        <f t="shared" si="12"/>
        <v>31469.48039321473</v>
      </c>
      <c r="M21" s="8">
        <f t="shared" si="12"/>
        <v>34122.804660780224</v>
      </c>
      <c r="N21" s="8">
        <f t="shared" si="12"/>
        <v>37148.243737309684</v>
      </c>
      <c r="O21" s="8">
        <f t="shared" si="12"/>
        <v>40576.511292373456</v>
      </c>
      <c r="P21" s="8">
        <f t="shared" si="12"/>
        <v>44442.72426307288</v>
      </c>
      <c r="Q21" s="8">
        <f t="shared" si="12"/>
        <v>48786.757770800519</v>
      </c>
      <c r="R21" s="8">
        <f t="shared" si="12"/>
        <v>53653.652343409674</v>
      </c>
      <c r="S21" s="8">
        <f t="shared" si="12"/>
        <v>59094.077392878768</v>
      </c>
      <c r="T21" s="8">
        <f t="shared" si="12"/>
        <v>65164.855649560894</v>
      </c>
      <c r="U21" s="8">
        <f t="shared" si="12"/>
        <v>71929.553934199357</v>
      </c>
      <c r="V21" s="8">
        <f t="shared" si="12"/>
        <v>79459.146370259637</v>
      </c>
      <c r="W21" s="8">
        <f t="shared" si="12"/>
        <v>87832.756921466091</v>
      </c>
      <c r="X21" s="8">
        <f t="shared" si="12"/>
        <v>97138.488992572326</v>
      </c>
      <c r="Y21" s="8">
        <f t="shared" si="12"/>
        <v>107474.35076471322</v>
      </c>
      <c r="Z21" s="8">
        <f t="shared" si="12"/>
        <v>118949.28596025262</v>
      </c>
      <c r="AA21" s="8">
        <f t="shared" si="12"/>
        <v>131684.32085683965</v>
      </c>
      <c r="AB21" s="33">
        <f t="shared" si="12"/>
        <v>0</v>
      </c>
    </row>
    <row r="22" spans="2:29" x14ac:dyDescent="0.25">
      <c r="B22" s="16">
        <f>+G34/G35</f>
        <v>880.48415478548975</v>
      </c>
      <c r="C22" s="12"/>
      <c r="AB22" s="31"/>
    </row>
    <row r="23" spans="2:29" x14ac:dyDescent="0.25">
      <c r="C23" s="12"/>
      <c r="E23" s="18" t="s">
        <v>21</v>
      </c>
      <c r="F23" s="18"/>
      <c r="G23" s="10">
        <f t="shared" ref="G23:AB23" si="13">+G12+G14+G17+G16</f>
        <v>1133.72</v>
      </c>
      <c r="H23" s="10">
        <f t="shared" si="13"/>
        <v>1162.6130919999998</v>
      </c>
      <c r="I23" s="10">
        <f t="shared" si="13"/>
        <v>1362.3478222930003</v>
      </c>
      <c r="J23" s="10">
        <f t="shared" si="13"/>
        <v>1669.104319247903</v>
      </c>
      <c r="K23" s="10">
        <f t="shared" si="13"/>
        <v>2090.7340602821751</v>
      </c>
      <c r="L23" s="10">
        <f t="shared" si="13"/>
        <v>2650.4124419283921</v>
      </c>
      <c r="M23" s="10">
        <f t="shared" si="13"/>
        <v>3378.3711703556869</v>
      </c>
      <c r="N23" s="10">
        <f t="shared" si="13"/>
        <v>4312.1184237016578</v>
      </c>
      <c r="O23" s="10">
        <f t="shared" si="13"/>
        <v>5497.8711439673789</v>
      </c>
      <c r="P23" s="10">
        <f t="shared" si="13"/>
        <v>6992.4347566719707</v>
      </c>
      <c r="Q23" s="10">
        <f t="shared" si="13"/>
        <v>8865.511452619663</v>
      </c>
      <c r="R23" s="10">
        <f t="shared" si="13"/>
        <v>11202.516871653335</v>
      </c>
      <c r="S23" s="10">
        <f t="shared" si="13"/>
        <v>14108.013972476221</v>
      </c>
      <c r="T23" s="10">
        <f t="shared" si="13"/>
        <v>17709.897813514348</v>
      </c>
      <c r="U23" s="10">
        <f t="shared" si="13"/>
        <v>22164.494154755543</v>
      </c>
      <c r="V23" s="10">
        <f t="shared" si="13"/>
        <v>27662.770166462535</v>
      </c>
      <c r="W23" s="10">
        <f t="shared" si="13"/>
        <v>34437.898554762542</v>
      </c>
      <c r="X23" s="10">
        <f t="shared" si="13"/>
        <v>42774.468756305047</v>
      </c>
      <c r="Y23" s="10">
        <f t="shared" si="13"/>
        <v>53019.702534404918</v>
      </c>
      <c r="Z23" s="10">
        <f t="shared" si="13"/>
        <v>65597.108783373595</v>
      </c>
      <c r="AA23" s="10">
        <f t="shared" si="13"/>
        <v>81023.106603760607</v>
      </c>
      <c r="AB23" s="34">
        <f>+AB12+AB14+AB17+AB16</f>
        <v>99279.627133953501</v>
      </c>
    </row>
    <row r="24" spans="2:29" s="18" customFormat="1" x14ac:dyDescent="0.25">
      <c r="C24" s="1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2:29" x14ac:dyDescent="0.25">
      <c r="C25" s="12"/>
      <c r="E25" t="s">
        <v>13</v>
      </c>
      <c r="AA25" s="6">
        <f>+AB23/($G$2)-AB23/($G$2)/((1+G2)^$AC$26)</f>
        <v>1538425.1048338336</v>
      </c>
      <c r="AC25" t="s">
        <v>35</v>
      </c>
    </row>
    <row r="26" spans="2:29" x14ac:dyDescent="0.25">
      <c r="C26" s="12"/>
      <c r="E26" s="21" t="s">
        <v>3</v>
      </c>
      <c r="F26" s="21"/>
      <c r="G26" s="25">
        <f t="shared" ref="G26:AA26" si="14">1/((1+$G$2)^G1)</f>
        <v>1</v>
      </c>
      <c r="H26" s="25">
        <f t="shared" si="14"/>
        <v>1</v>
      </c>
      <c r="I26" s="25">
        <f t="shared" si="14"/>
        <v>0.9530162965786716</v>
      </c>
      <c r="J26" s="25">
        <f t="shared" si="14"/>
        <v>0.90824006154452641</v>
      </c>
      <c r="K26" s="25">
        <f t="shared" si="14"/>
        <v>0.8655675798575494</v>
      </c>
      <c r="L26" s="25">
        <f t="shared" si="14"/>
        <v>0.82490000939440522</v>
      </c>
      <c r="M26" s="25">
        <f t="shared" si="14"/>
        <v>0.78614315200076745</v>
      </c>
      <c r="N26" s="25">
        <f t="shared" si="14"/>
        <v>0.74920723530045508</v>
      </c>
      <c r="O26" s="25">
        <f t="shared" si="14"/>
        <v>0.71400670475598504</v>
      </c>
      <c r="P26" s="25">
        <f t="shared" si="14"/>
        <v>0.68046002549888984</v>
      </c>
      <c r="Q26" s="25">
        <f t="shared" si="14"/>
        <v>0.64848949347078044</v>
      </c>
      <c r="R26" s="25">
        <f t="shared" si="14"/>
        <v>0.61802105543770181</v>
      </c>
      <c r="S26" s="25">
        <f t="shared" si="14"/>
        <v>0.58898413746088041</v>
      </c>
      <c r="T26" s="25">
        <f t="shared" si="14"/>
        <v>0.56131148142655152</v>
      </c>
      <c r="U26" s="25">
        <f t="shared" si="14"/>
        <v>0.53493898925621985</v>
      </c>
      <c r="V26" s="25">
        <f t="shared" si="14"/>
        <v>0.50980557443650043</v>
      </c>
      <c r="W26" s="25">
        <f t="shared" si="14"/>
        <v>0.48585302052463597</v>
      </c>
      <c r="X26" s="25">
        <f t="shared" si="14"/>
        <v>0.46302584630194987</v>
      </c>
      <c r="Y26" s="25">
        <f t="shared" si="14"/>
        <v>0.4412711772628895</v>
      </c>
      <c r="Z26" s="25">
        <f t="shared" si="14"/>
        <v>0.42053862314198937</v>
      </c>
      <c r="AA26" s="25">
        <f t="shared" si="14"/>
        <v>0.40078016119507237</v>
      </c>
      <c r="AC26">
        <v>30</v>
      </c>
    </row>
    <row r="27" spans="2:29" x14ac:dyDescent="0.25">
      <c r="C27" s="12"/>
      <c r="E27" t="s">
        <v>22</v>
      </c>
      <c r="G27" s="8">
        <f>+G26*G23</f>
        <v>1133.72</v>
      </c>
      <c r="H27" s="8">
        <f t="shared" ref="H27:Z27" si="15">+H26*H23</f>
        <v>1162.6130919999998</v>
      </c>
      <c r="I27" s="8">
        <f t="shared" si="15"/>
        <v>1298.3396762536934</v>
      </c>
      <c r="J27" s="8">
        <f t="shared" si="15"/>
        <v>1515.9474096379504</v>
      </c>
      <c r="K27" s="8">
        <f t="shared" si="15"/>
        <v>1809.67162068419</v>
      </c>
      <c r="L27" s="8">
        <f t="shared" si="15"/>
        <v>2186.3252482457792</v>
      </c>
      <c r="M27" s="8">
        <f t="shared" si="15"/>
        <v>2655.8833604919414</v>
      </c>
      <c r="N27" s="8">
        <f t="shared" si="15"/>
        <v>3230.6703225096753</v>
      </c>
      <c r="O27" s="8">
        <f t="shared" si="15"/>
        <v>3925.5168586771661</v>
      </c>
      <c r="P27" s="8">
        <f t="shared" si="15"/>
        <v>4758.072332824333</v>
      </c>
      <c r="Q27" s="8">
        <f t="shared" si="15"/>
        <v>5749.1910312687278</v>
      </c>
      <c r="R27" s="8">
        <f t="shared" si="15"/>
        <v>6923.3913005778559</v>
      </c>
      <c r="S27" s="8">
        <f t="shared" si="15"/>
        <v>8309.3964408649554</v>
      </c>
      <c r="T27" s="8">
        <f t="shared" si="15"/>
        <v>9940.7689776165844</v>
      </c>
      <c r="U27" s="8">
        <f t="shared" si="15"/>
        <v>11856.652100520323</v>
      </c>
      <c r="V27" s="8">
        <f t="shared" si="15"/>
        <v>14102.634435218319</v>
      </c>
      <c r="W27" s="8">
        <f t="shared" si="15"/>
        <v>16731.757033352376</v>
      </c>
      <c r="X27" s="8">
        <f t="shared" si="15"/>
        <v>19805.684596004456</v>
      </c>
      <c r="Y27" s="8">
        <f t="shared" si="15"/>
        <v>23396.066555485064</v>
      </c>
      <c r="Z27" s="8">
        <f t="shared" si="15"/>
        <v>27586.11780985523</v>
      </c>
      <c r="AA27" s="8">
        <f>+AA26*AA23+AA25*AA26</f>
        <v>649042.71522703068</v>
      </c>
    </row>
    <row r="28" spans="2:29" x14ac:dyDescent="0.25">
      <c r="D28" s="7"/>
    </row>
    <row r="29" spans="2:29" x14ac:dyDescent="0.25">
      <c r="D29" s="7"/>
      <c r="E29" s="18" t="s">
        <v>32</v>
      </c>
      <c r="F29" s="18"/>
      <c r="G29" s="20">
        <f>SUM(G27:AA27)</f>
        <v>817121.13542911934</v>
      </c>
    </row>
    <row r="30" spans="2:29" x14ac:dyDescent="0.25">
      <c r="B30" s="12"/>
      <c r="C30" s="12"/>
      <c r="E30" t="s">
        <v>14</v>
      </c>
      <c r="G30" s="8">
        <v>861</v>
      </c>
    </row>
    <row r="31" spans="2:29" x14ac:dyDescent="0.25">
      <c r="E31" t="s">
        <v>15</v>
      </c>
      <c r="G31" s="8">
        <v>1436</v>
      </c>
    </row>
    <row r="32" spans="2:29" x14ac:dyDescent="0.25">
      <c r="E32" t="s">
        <v>16</v>
      </c>
      <c r="G32" s="8">
        <f>1233+10559-14531</f>
        <v>-2739</v>
      </c>
    </row>
    <row r="33" spans="5:7" x14ac:dyDescent="0.25">
      <c r="E33" t="s">
        <v>17</v>
      </c>
      <c r="G33" s="8">
        <v>0</v>
      </c>
    </row>
    <row r="34" spans="5:7" x14ac:dyDescent="0.25">
      <c r="E34" s="18" t="s">
        <v>31</v>
      </c>
      <c r="G34" s="10">
        <f>+G29-G30+G31-G32</f>
        <v>820435.13542911934</v>
      </c>
    </row>
    <row r="35" spans="5:7" x14ac:dyDescent="0.25">
      <c r="E35" t="s">
        <v>23</v>
      </c>
      <c r="G35">
        <v>931.8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Erste Investment Hungary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Pletser Tamás ERSTE-INV HUN</dc:creator>
  <cp:lastModifiedBy>Pletser Tamás ERSTE-INV HUN</cp:lastModifiedBy>
  <dcterms:created xsi:type="dcterms:W3CDTF">2021-01-11T08:05:51Z</dcterms:created>
  <dcterms:modified xsi:type="dcterms:W3CDTF">2021-01-11T10:10:27Z</dcterms:modified>
</cp:coreProperties>
</file>